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</sheets>
  <calcPr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C6" authorId="0">
      <text>
        <r>
          <rPr>
            <b/>
            <sz val="9"/>
            <rFont val="Tahoma"/>
          </rPr>
          <t>Lenovo:</t>
        </r>
        <r>
          <rPr>
            <sz val="9"/>
            <rFont val="Tahoma"/>
          </rPr>
          <t xml:space="preserve">
Lenovo:
80460 охрана+45977
 председатель</t>
        </r>
      </text>
    </comment>
    <comment ref="D16" authorId="0">
      <text>
        <r>
          <rPr>
            <b/>
            <sz val="9"/>
            <rFont val="Tahoma"/>
          </rPr>
          <t>Lenovo:</t>
        </r>
        <r>
          <rPr>
            <sz val="9"/>
            <rFont val="Tahoma"/>
          </rPr>
          <t xml:space="preserve">
Lenovo:
 по ставкам 2025 г.</t>
        </r>
      </text>
    </comment>
    <comment ref="C12" authorId="0">
      <text>
        <r>
          <rPr>
            <b/>
            <sz val="9"/>
            <rFont val="Tahoma"/>
          </rPr>
          <t>Lenovo:</t>
        </r>
        <r>
          <rPr>
            <sz val="9"/>
            <rFont val="Tahoma"/>
          </rPr>
          <t xml:space="preserve">
Lenovo:
80460 охрана+45977
 председатель</t>
        </r>
      </text>
    </comment>
    <comment ref="D17" authorId="0">
      <text>
        <r>
          <rPr>
            <b/>
            <sz val="9"/>
            <rFont val="Tahoma"/>
          </rPr>
          <t>Lenovo:</t>
        </r>
        <r>
          <rPr>
            <sz val="9"/>
            <rFont val="Tahoma"/>
          </rPr>
          <t xml:space="preserve">
Lenovo:
1% от ежемесячных взносов
</t>
        </r>
      </text>
    </comment>
  </commentList>
</comments>
</file>

<file path=xl/sharedStrings.xml><?xml version="1.0" encoding="utf-8"?>
<sst xmlns="http://schemas.openxmlformats.org/spreadsheetml/2006/main" count="46" uniqueCount="46">
  <si>
    <t xml:space="preserve">Cмета расходов Ассоциации ДНП «Сосновый Край» на 2026 год С ИСПОЛНЕНИЕМ НА 31 мая 2026 г.</t>
  </si>
  <si>
    <t xml:space="preserve">Статьи расходов</t>
  </si>
  <si>
    <t>ОКЛАД</t>
  </si>
  <si>
    <t xml:space="preserve">Сметная Сумма в месяц, руб.</t>
  </si>
  <si>
    <t xml:space="preserve">Сметная Сумма в ГОД, руб.</t>
  </si>
  <si>
    <t xml:space="preserve">Сметная Сумма за 5 мес, руб.</t>
  </si>
  <si>
    <t xml:space="preserve">"минус" - экономия, "плюс" - перерасход</t>
  </si>
  <si>
    <t xml:space="preserve">Исполнение 5 месяцев (01.01.2026 - 31.05.2026)</t>
  </si>
  <si>
    <t xml:space="preserve">Охрана на КПП (сторож) з/пл на руки 70000.00</t>
  </si>
  <si>
    <t>1.1.</t>
  </si>
  <si>
    <t xml:space="preserve">НДФЛ от оклада 13%</t>
  </si>
  <si>
    <t>1.2.</t>
  </si>
  <si>
    <t xml:space="preserve">Обязательные страх. взносы с з/пл (ПФР, ФСС) – 30,2% от оклада</t>
  </si>
  <si>
    <t>1.3.</t>
  </si>
  <si>
    <t xml:space="preserve">отпуск начисление (на руки 66894,24)</t>
  </si>
  <si>
    <t>1.4.</t>
  </si>
  <si>
    <t xml:space="preserve">НДФЛ  </t>
  </si>
  <si>
    <t>1.5.</t>
  </si>
  <si>
    <t>взносы</t>
  </si>
  <si>
    <t xml:space="preserve">Председатель з/п на руки  40000.00</t>
  </si>
  <si>
    <t>2.1.</t>
  </si>
  <si>
    <t xml:space="preserve">НДФЛ от оклада 13% </t>
  </si>
  <si>
    <t>2.2.</t>
  </si>
  <si>
    <t xml:space="preserve">Обязательные страх. взносы с з/п (ПФР, ФСС) – 30,2% от оклада</t>
  </si>
  <si>
    <t>2.3.</t>
  </si>
  <si>
    <t xml:space="preserve">отпуск начисление</t>
  </si>
  <si>
    <t>2.4.</t>
  </si>
  <si>
    <t>2.5.</t>
  </si>
  <si>
    <t xml:space="preserve">Бухгалтерские услуги </t>
  </si>
  <si>
    <t xml:space="preserve">Земельный налог на земли общего пользования</t>
  </si>
  <si>
    <t xml:space="preserve">Налог при применении УСН (15% от разницы между доходами и расходами, но не менее 1 % от суммы дохода в год)</t>
  </si>
  <si>
    <t xml:space="preserve">Вывоз мусора</t>
  </si>
  <si>
    <t xml:space="preserve">Электроэнергия на КПП</t>
  </si>
  <si>
    <t xml:space="preserve">Обслуживание туалета</t>
  </si>
  <si>
    <t xml:space="preserve">Сезонное обслуживание дорог</t>
  </si>
  <si>
    <t xml:space="preserve">Расходы на услуги банка</t>
  </si>
  <si>
    <t xml:space="preserve">Канцтовары, почтовые расходы, хоз.нужды</t>
  </si>
  <si>
    <t xml:space="preserve">Юридические услуги</t>
  </si>
  <si>
    <t xml:space="preserve">Резервный фонд (на возможные штрафы, госпошлина)</t>
  </si>
  <si>
    <t xml:space="preserve">Закупка и установка осветительных приборов</t>
  </si>
  <si>
    <t xml:space="preserve">Фонд развития посёлка </t>
  </si>
  <si>
    <t xml:space="preserve">ВСЕГО ТЕКУЩИХ РАСХОДОВ</t>
  </si>
  <si>
    <t xml:space="preserve">Из расчета на 111 участков в месяц:</t>
  </si>
  <si>
    <t xml:space="preserve">Целевой взнос на ремонт инфроструктуры поселка</t>
  </si>
  <si>
    <t xml:space="preserve">Из расчета на 111 участков в месяц</t>
  </si>
  <si>
    <t xml:space="preserve">Председатель правления АДНП "Сосновый край"   _______________________А.С. Козачок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</si>
</sst>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0" formatCode="#,##0.00\ _₽"/>
    <numFmt numFmtId="161" formatCode="#,##0.00\ &quot;₽&quot;"/>
    <numFmt numFmtId="162" formatCode="#,##0.00&quot;р.&quot;"/>
  </numFmts>
  <fonts count="16">
    <font>
      <name val="Calibri"/>
      <color theme="1"/>
      <sz val="11.000000"/>
      <scheme val="minor"/>
    </font>
    <font>
      <name val="Times New Roman"/>
      <b/>
      <color theme="1"/>
      <sz val="14.000000"/>
    </font>
    <font>
      <name val="Times New Roman"/>
      <sz val="10.000000"/>
    </font>
    <font>
      <name val="Times New Roman"/>
      <b/>
      <sz val="10.000000"/>
    </font>
    <font>
      <name val="Times New Roman"/>
      <b/>
      <sz val="14.000000"/>
    </font>
    <font>
      <name val="Times New Roman"/>
      <b/>
      <color theme="1"/>
      <sz val="11.000000"/>
    </font>
    <font>
      <name val="Times New Roman"/>
      <sz val="11.000000"/>
    </font>
    <font>
      <name val="Times New Roman"/>
      <sz val="14.000000"/>
    </font>
    <font>
      <name val="Times New Roman"/>
      <color theme="1"/>
      <sz val="11.000000"/>
    </font>
    <font>
      <name val="Times New Roman"/>
      <i/>
      <sz val="10.000000"/>
    </font>
    <font>
      <name val="Times New Roman"/>
      <i/>
      <color theme="1"/>
      <sz val="10.000000"/>
    </font>
    <font>
      <name val="Times New Roman"/>
      <i/>
      <sz val="14.000000"/>
    </font>
    <font>
      <name val="Times New Roman"/>
      <b/>
      <i/>
      <sz val="14.000000"/>
    </font>
    <font>
      <name val="Calibri"/>
      <color theme="1"/>
      <sz val="10.000000"/>
      <scheme val="minor"/>
    </font>
    <font>
      <name val="Calibri"/>
      <b/>
      <sz val="14.000000"/>
    </font>
    <font>
      <name val="Calibri"/>
      <sz val="11.000000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/>
    <fill>
      <patternFill patternType="solid">
        <fgColor indexed="43"/>
        <bgColor indexed="43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fontId="0" fillId="0" borderId="0" numFmtId="0" applyNumberFormat="1" applyFont="1" applyFill="1" applyBorder="1"/>
  </cellStyleXfs>
  <cellXfs count="50">
    <xf fontId="0" fillId="0" borderId="0" numFmtId="0" xfId="0"/>
    <xf fontId="1" fillId="0" borderId="0" numFmtId="0" xfId="0" applyFont="1" applyAlignment="1">
      <alignment horizontal="center" vertical="center"/>
    </xf>
    <xf fontId="2" fillId="0" borderId="1" numFmtId="0" xfId="0" applyFont="1" applyBorder="1" applyAlignment="1">
      <alignment horizontal="center" vertical="center"/>
    </xf>
    <xf fontId="3" fillId="0" borderId="1" numFmtId="0" xfId="0" applyFont="1" applyBorder="1" applyAlignment="1">
      <alignment horizontal="center" vertical="center"/>
    </xf>
    <xf fontId="3" fillId="0" borderId="1" numFmtId="0" xfId="0" applyFont="1" applyBorder="1" applyAlignment="1">
      <alignment horizontal="center" vertical="center" wrapText="1"/>
    </xf>
    <xf fontId="4" fillId="2" borderId="1" numFmtId="0" xfId="0" applyFont="1" applyFill="1" applyBorder="1" applyAlignment="1">
      <alignment horizontal="center" vertical="center" wrapText="1"/>
    </xf>
    <xf fontId="5" fillId="0" borderId="1" numFmtId="0" xfId="0" applyFont="1" applyBorder="1" applyAlignment="1">
      <alignment horizontal="center" vertical="center" wrapText="1"/>
    </xf>
    <xf fontId="6" fillId="0" borderId="1" numFmtId="1" xfId="0" applyNumberFormat="1" applyFont="1" applyBorder="1" applyAlignment="1">
      <alignment horizontal="center" vertical="center"/>
    </xf>
    <xf fontId="6" fillId="0" borderId="1" numFmtId="0" xfId="0" applyFont="1" applyBorder="1" applyAlignment="1">
      <alignment vertical="center" wrapText="1"/>
    </xf>
    <xf fontId="6" fillId="0" borderId="1" numFmtId="160" xfId="0" applyNumberFormat="1" applyFont="1" applyBorder="1" applyAlignment="1">
      <alignment horizontal="center" vertical="center"/>
    </xf>
    <xf fontId="7" fillId="2" borderId="1" numFmtId="160" xfId="0" applyNumberFormat="1" applyFont="1" applyFill="1" applyBorder="1" applyAlignment="1">
      <alignment horizontal="center" vertical="center"/>
    </xf>
    <xf fontId="8" fillId="0" borderId="1" numFmtId="161" xfId="0" applyNumberFormat="1" applyFont="1" applyBorder="1" applyAlignment="1">
      <alignment horizontal="right" vertical="center"/>
    </xf>
    <xf fontId="6" fillId="0" borderId="1" numFmtId="1" xfId="0" applyNumberFormat="1" applyFont="1" applyBorder="1" applyAlignment="1">
      <alignment horizontal="right" vertical="center"/>
    </xf>
    <xf fontId="6" fillId="0" borderId="1" numFmtId="0" xfId="0" applyFont="1" applyBorder="1" applyAlignment="1">
      <alignment vertical="center"/>
    </xf>
    <xf fontId="6" fillId="0" borderId="1" numFmtId="0" xfId="0" applyFont="1" applyBorder="1" applyAlignment="1">
      <alignment horizontal="center" vertical="center"/>
    </xf>
    <xf fontId="8" fillId="0" borderId="1" numFmtId="162" xfId="0" applyNumberFormat="1" applyFont="1" applyBorder="1" applyAlignment="1">
      <alignment horizontal="center" vertical="center"/>
    </xf>
    <xf fontId="9" fillId="3" borderId="1" numFmtId="1" xfId="0" applyNumberFormat="1" applyFont="1" applyFill="1" applyBorder="1" applyAlignment="1">
      <alignment horizontal="right" vertical="center"/>
    </xf>
    <xf fontId="9" fillId="3" borderId="1" numFmtId="0" xfId="0" applyFont="1" applyFill="1" applyBorder="1" applyAlignment="1">
      <alignment horizontal="right" vertical="center" wrapText="1"/>
    </xf>
    <xf fontId="10" fillId="3" borderId="1" numFmtId="162" xfId="0" applyNumberFormat="1" applyFont="1" applyFill="1" applyBorder="1" applyAlignment="1">
      <alignment horizontal="center" vertical="center"/>
    </xf>
    <xf fontId="9" fillId="3" borderId="1" numFmtId="160" xfId="0" applyNumberFormat="1" applyFont="1" applyFill="1" applyBorder="1" applyAlignment="1">
      <alignment horizontal="center" vertical="center"/>
    </xf>
    <xf fontId="11" fillId="2" borderId="1" numFmtId="160" xfId="0" applyNumberFormat="1" applyFont="1" applyFill="1" applyBorder="1" applyAlignment="1">
      <alignment horizontal="center" vertical="center"/>
    </xf>
    <xf fontId="10" fillId="3" borderId="1" numFmtId="161" xfId="0" applyNumberFormat="1" applyFont="1" applyFill="1" applyBorder="1" applyAlignment="1">
      <alignment horizontal="right" vertical="center"/>
    </xf>
    <xf fontId="12" fillId="2" borderId="1" numFmtId="160" xfId="0" applyNumberFormat="1" applyFont="1" applyFill="1" applyBorder="1" applyAlignment="1">
      <alignment horizontal="center" vertical="center"/>
    </xf>
    <xf fontId="6" fillId="3" borderId="1" numFmtId="1" xfId="0" applyNumberFormat="1" applyFont="1" applyFill="1" applyBorder="1" applyAlignment="1">
      <alignment horizontal="center" vertical="center"/>
    </xf>
    <xf fontId="6" fillId="3" borderId="1" numFmtId="0" xfId="0" applyFont="1" applyFill="1" applyBorder="1" applyAlignment="1">
      <alignment vertical="center" wrapText="1"/>
    </xf>
    <xf fontId="6" fillId="3" borderId="1" numFmtId="160" xfId="0" applyNumberFormat="1" applyFont="1" applyFill="1" applyBorder="1" applyAlignment="1">
      <alignment horizontal="center" vertical="center"/>
    </xf>
    <xf fontId="8" fillId="3" borderId="1" numFmtId="161" xfId="0" applyNumberFormat="1" applyFont="1" applyFill="1" applyBorder="1" applyAlignment="1">
      <alignment horizontal="right" vertical="center"/>
    </xf>
    <xf fontId="4" fillId="2" borderId="1" numFmtId="160" xfId="0" applyNumberFormat="1" applyFont="1" applyFill="1" applyBorder="1" applyAlignment="1">
      <alignment horizontal="center" vertical="center"/>
    </xf>
    <xf fontId="6" fillId="3" borderId="1" numFmtId="0" xfId="0" applyFont="1" applyFill="1" applyBorder="1" applyAlignment="1">
      <alignment horizontal="center" vertical="center"/>
    </xf>
    <xf fontId="8" fillId="3" borderId="1" numFmtId="162" xfId="0" applyNumberFormat="1" applyFont="1" applyFill="1" applyBorder="1" applyAlignment="1">
      <alignment horizontal="center" vertical="center"/>
    </xf>
    <xf fontId="8" fillId="3" borderId="2" numFmtId="162" xfId="0" applyNumberFormat="1" applyFont="1" applyFill="1" applyBorder="1" applyAlignment="1">
      <alignment horizontal="center" vertical="center"/>
    </xf>
    <xf fontId="8" fillId="0" borderId="3" numFmtId="161" xfId="0" applyNumberFormat="1" applyFont="1" applyBorder="1" applyAlignment="1">
      <alignment horizontal="right" vertical="center"/>
    </xf>
    <xf fontId="2" fillId="4" borderId="1" numFmtId="1" xfId="0" applyNumberFormat="1" applyFont="1" applyFill="1" applyBorder="1" applyAlignment="1">
      <alignment horizontal="center" vertical="center"/>
    </xf>
    <xf fontId="3" fillId="4" borderId="1" numFmtId="0" xfId="0" applyFont="1" applyFill="1" applyBorder="1" applyAlignment="1">
      <alignment horizontal="right" vertical="center" wrapText="1"/>
    </xf>
    <xf fontId="3" fillId="4" borderId="1" numFmtId="160" xfId="0" applyNumberFormat="1" applyFont="1" applyFill="1" applyBorder="1" applyAlignment="1">
      <alignment horizontal="center" vertical="center" wrapText="1"/>
    </xf>
    <xf fontId="3" fillId="4" borderId="2" numFmtId="160" xfId="0" applyNumberFormat="1" applyFont="1" applyFill="1" applyBorder="1" applyAlignment="1">
      <alignment horizontal="center" vertical="center" wrapText="1"/>
    </xf>
    <xf fontId="4" fillId="2" borderId="2" numFmtId="160" xfId="0" applyNumberFormat="1" applyFont="1" applyFill="1" applyBorder="1" applyAlignment="1">
      <alignment horizontal="center" vertical="center" wrapText="1"/>
    </xf>
    <xf fontId="3" fillId="4" borderId="4" numFmtId="160" xfId="0" applyNumberFormat="1" applyFont="1" applyFill="1" applyBorder="1" applyAlignment="1">
      <alignment horizontal="center" vertical="center" wrapText="1"/>
    </xf>
    <xf fontId="13" fillId="0" borderId="0" numFmtId="0" xfId="0" applyFont="1"/>
    <xf fontId="4" fillId="0" borderId="0" numFmtId="0" xfId="0" applyFont="1" applyAlignment="1">
      <alignment horizontal="right" vertical="center" wrapText="1"/>
    </xf>
    <xf fontId="4" fillId="0" borderId="5" numFmtId="0" xfId="0" applyFont="1" applyBorder="1" applyAlignment="1">
      <alignment horizontal="right" vertical="center" wrapText="1"/>
    </xf>
    <xf fontId="14" fillId="0" borderId="6" numFmtId="1" xfId="0" applyNumberFormat="1" applyFont="1" applyBorder="1" applyAlignment="1">
      <alignment horizontal="center" vertical="center"/>
    </xf>
    <xf fontId="14" fillId="0" borderId="0" numFmtId="1" xfId="0" applyNumberFormat="1" applyFont="1" applyAlignment="1">
      <alignment horizontal="right" vertical="center"/>
    </xf>
    <xf fontId="15" fillId="0" borderId="0" numFmtId="0" xfId="0" applyFont="1" applyAlignment="1">
      <alignment vertical="center"/>
    </xf>
    <xf fontId="0" fillId="5" borderId="0" numFmtId="0" xfId="0" applyFill="1" applyAlignment="1">
      <alignment horizontal="center"/>
    </xf>
    <xf fontId="2" fillId="5" borderId="1" numFmtId="1" xfId="0" applyNumberFormat="1" applyFont="1" applyFill="1" applyBorder="1" applyAlignment="1">
      <alignment horizontal="center" vertical="center"/>
    </xf>
    <xf fontId="3" fillId="5" borderId="1" numFmtId="0" xfId="0" applyFont="1" applyFill="1" applyBorder="1" applyAlignment="1">
      <alignment horizontal="center" vertical="center" wrapText="1"/>
    </xf>
    <xf fontId="3" fillId="5" borderId="1" numFmtId="160" xfId="0" applyNumberFormat="1" applyFont="1" applyFill="1" applyBorder="1" applyAlignment="1">
      <alignment horizontal="center" vertical="center" wrapText="1"/>
    </xf>
    <xf fontId="0" fillId="0" borderId="0" numFmtId="0" xfId="0"/>
    <xf fontId="8" fillId="0" borderId="0" numFmt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2" Type="http://schemas.openxmlformats.org/officeDocument/2006/relationships/vmlDrawing" Target="../drawings/vmlDrawing1.vml"/><Relationship 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R16" activeCellId="0" sqref="R16"/>
    </sheetView>
  </sheetViews>
  <sheetFormatPr defaultRowHeight="14.25"/>
  <cols>
    <col bestFit="1" customWidth="1" min="2" max="2" width="43.00390625"/>
    <col bestFit="1" customWidth="1" min="3" max="3" width="11.5703125"/>
    <col bestFit="1" customWidth="1" min="4" max="4" width="13.85546875"/>
    <col bestFit="1" customWidth="1" min="5" max="7" width="16.28515625"/>
    <col bestFit="1" customWidth="1" min="8" max="8" width="19.57421875"/>
  </cols>
  <sheetData>
    <row r="1" ht="41.25" customHeight="1">
      <c r="A1" s="1" t="s">
        <v>0</v>
      </c>
      <c r="B1" s="1"/>
      <c r="C1" s="1"/>
      <c r="D1" s="1"/>
      <c r="E1" s="1"/>
      <c r="F1" s="1"/>
      <c r="G1" s="1"/>
      <c r="H1" s="1"/>
    </row>
    <row r="2" ht="69">
      <c r="A2" s="2"/>
      <c r="B2" s="3" t="s">
        <v>1</v>
      </c>
      <c r="C2" s="3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6" t="s">
        <v>7</v>
      </c>
    </row>
    <row r="3" ht="30" customHeight="1">
      <c r="A3" s="7">
        <v>1</v>
      </c>
      <c r="B3" s="8" t="s">
        <v>8</v>
      </c>
      <c r="C3" s="7">
        <f>D3/87*100</f>
        <v>80459.770114942527</v>
      </c>
      <c r="D3" s="9">
        <v>70000</v>
      </c>
      <c r="E3" s="9">
        <f t="shared" ref="E3:E5" si="0">D3*12</f>
        <v>840000</v>
      </c>
      <c r="F3" s="9">
        <f t="shared" ref="F3:F9" si="1">D3*5</f>
        <v>350000</v>
      </c>
      <c r="G3" s="10">
        <f t="shared" ref="G3:G5" si="2">H3-F3</f>
        <v>-674.67999999999302</v>
      </c>
      <c r="H3" s="11">
        <f>401523.36-H4</f>
        <v>349325.32000000001</v>
      </c>
    </row>
    <row r="4" ht="30" customHeight="1">
      <c r="A4" s="12" t="s">
        <v>9</v>
      </c>
      <c r="B4" s="13" t="s">
        <v>10</v>
      </c>
      <c r="C4" s="14"/>
      <c r="D4" s="15">
        <f>C3*13/100</f>
        <v>10459.770114942528</v>
      </c>
      <c r="E4" s="9">
        <f t="shared" si="0"/>
        <v>125517.24137931035</v>
      </c>
      <c r="F4" s="9">
        <f t="shared" si="1"/>
        <v>52298.85057471264</v>
      </c>
      <c r="G4" s="10">
        <f t="shared" si="2"/>
        <v>-100.81057471263921</v>
      </c>
      <c r="H4" s="11">
        <v>52198.040000000001</v>
      </c>
    </row>
    <row r="5" ht="30" customHeight="1">
      <c r="A5" s="12" t="s">
        <v>11</v>
      </c>
      <c r="B5" s="8" t="s">
        <v>12</v>
      </c>
      <c r="C5" s="14"/>
      <c r="D5" s="15">
        <f>C3*30.2/100</f>
        <v>24298.85057471264</v>
      </c>
      <c r="E5" s="9">
        <f t="shared" si="0"/>
        <v>291586.20689655165</v>
      </c>
      <c r="F5" s="9">
        <f t="shared" si="1"/>
        <v>121494.25287356321</v>
      </c>
      <c r="G5" s="10">
        <f t="shared" si="2"/>
        <v>-234.20287356320478</v>
      </c>
      <c r="H5" s="11">
        <v>121260.05</v>
      </c>
    </row>
    <row r="6" ht="30" customHeight="1">
      <c r="A6" s="16" t="s">
        <v>13</v>
      </c>
      <c r="B6" s="17" t="s">
        <v>14</v>
      </c>
      <c r="C6" s="18">
        <v>76890.240000000005</v>
      </c>
      <c r="D6" s="18">
        <f>+E6/12</f>
        <v>5574.5200000000004</v>
      </c>
      <c r="E6" s="18">
        <v>66894.240000000005</v>
      </c>
      <c r="F6" s="19"/>
      <c r="G6" s="20">
        <f t="shared" ref="G6:G8" si="3">H6-E6</f>
        <v>-22073.110000000015</v>
      </c>
      <c r="H6" s="21">
        <f>19849.76+20162.94+11505.84-H7</f>
        <v>44821.12999999999</v>
      </c>
    </row>
    <row r="7" ht="30" customHeight="1">
      <c r="A7" s="16" t="s">
        <v>15</v>
      </c>
      <c r="B7" s="17" t="s">
        <v>16</v>
      </c>
      <c r="C7" s="18"/>
      <c r="D7" s="18">
        <f t="shared" ref="D7:D9" si="4">E7/12</f>
        <v>832.97760000000005</v>
      </c>
      <c r="E7" s="18">
        <f>+C6/100*13</f>
        <v>9995.7312000000002</v>
      </c>
      <c r="F7" s="19"/>
      <c r="G7" s="20">
        <f t="shared" si="3"/>
        <v>-3298.3212000000003</v>
      </c>
      <c r="H7" s="21">
        <v>6697.4099999999999</v>
      </c>
    </row>
    <row r="8" ht="30" customHeight="1">
      <c r="A8" s="16" t="s">
        <v>17</v>
      </c>
      <c r="B8" s="17" t="s">
        <v>18</v>
      </c>
      <c r="C8" s="18"/>
      <c r="D8" s="18">
        <f t="shared" si="4"/>
        <v>1935.07104</v>
      </c>
      <c r="E8" s="18">
        <f>+C6/100*30.2</f>
        <v>23220.852480000001</v>
      </c>
      <c r="F8" s="19"/>
      <c r="G8" s="20">
        <f t="shared" si="3"/>
        <v>-7662.252480000001</v>
      </c>
      <c r="H8" s="21">
        <v>15558.6</v>
      </c>
    </row>
    <row r="9" ht="30" customHeight="1">
      <c r="A9" s="7">
        <v>2</v>
      </c>
      <c r="B9" s="8" t="s">
        <v>19</v>
      </c>
      <c r="C9" s="7">
        <v>45977</v>
      </c>
      <c r="D9" s="9">
        <f t="shared" si="4"/>
        <v>36666.666666666664</v>
      </c>
      <c r="E9" s="9">
        <v>440000</v>
      </c>
      <c r="F9" s="9">
        <f t="shared" si="1"/>
        <v>183333.33333333331</v>
      </c>
      <c r="G9" s="10">
        <f>H9-F9</f>
        <v>-22230.623333333322</v>
      </c>
      <c r="H9" s="11">
        <f>185175.53-H10</f>
        <v>161102.70999999999</v>
      </c>
    </row>
    <row r="10" ht="30" customHeight="1">
      <c r="A10" s="12" t="s">
        <v>20</v>
      </c>
      <c r="B10" s="13" t="s">
        <v>21</v>
      </c>
      <c r="C10" s="14"/>
      <c r="D10" s="15">
        <f t="shared" ref="D10:D11" si="5">E10/12</f>
        <v>5478.9258333333337</v>
      </c>
      <c r="E10" s="9">
        <f>5977.01*11</f>
        <v>65747.110000000001</v>
      </c>
      <c r="F10" s="9">
        <f t="shared" ref="F10:F15" si="6">D10*5</f>
        <v>27394.629166666669</v>
      </c>
      <c r="G10" s="10">
        <f t="shared" ref="G10:G11" si="7">H10-F10</f>
        <v>-3321.8091666666696</v>
      </c>
      <c r="H10" s="11">
        <v>24072.82</v>
      </c>
    </row>
    <row r="11" ht="30" customHeight="1">
      <c r="A11" s="12" t="s">
        <v>22</v>
      </c>
      <c r="B11" s="8" t="s">
        <v>23</v>
      </c>
      <c r="C11" s="14"/>
      <c r="D11" s="15">
        <f t="shared" si="5"/>
        <v>12727.971666666666</v>
      </c>
      <c r="E11" s="9">
        <f>13885.06*11</f>
        <v>152735.66</v>
      </c>
      <c r="F11" s="9">
        <f t="shared" si="6"/>
        <v>63639.85833333333</v>
      </c>
      <c r="G11" s="10">
        <f t="shared" si="7"/>
        <v>-7716.8483333333279</v>
      </c>
      <c r="H11" s="11">
        <v>55923.010000000002</v>
      </c>
    </row>
    <row r="12" ht="30" customHeight="1">
      <c r="A12" s="16" t="s">
        <v>24</v>
      </c>
      <c r="B12" s="17" t="s">
        <v>25</v>
      </c>
      <c r="C12" s="18">
        <v>43937.040000000001</v>
      </c>
      <c r="D12" s="18">
        <f t="shared" ref="D12:D14" si="8">+E12/12</f>
        <v>3185.4200000000001</v>
      </c>
      <c r="E12" s="18">
        <v>38225.040000000001</v>
      </c>
      <c r="F12" s="19"/>
      <c r="G12" s="22">
        <f t="shared" ref="G12:G14" si="9">H12-E12</f>
        <v>156.58000000000175</v>
      </c>
      <c r="H12" s="21">
        <f>44116.8-H13</f>
        <v>38381.620000000003</v>
      </c>
    </row>
    <row r="13" ht="30" customHeight="1">
      <c r="A13" s="16" t="s">
        <v>26</v>
      </c>
      <c r="B13" s="17" t="s">
        <v>16</v>
      </c>
      <c r="C13" s="18"/>
      <c r="D13" s="18">
        <f t="shared" si="8"/>
        <v>475.98499999999996</v>
      </c>
      <c r="E13" s="18">
        <v>5711.8199999999997</v>
      </c>
      <c r="F13" s="19"/>
      <c r="G13" s="22">
        <f t="shared" si="9"/>
        <v>23.360000000000582</v>
      </c>
      <c r="H13" s="21">
        <v>5735.1800000000003</v>
      </c>
    </row>
    <row r="14" ht="30" customHeight="1">
      <c r="A14" s="16" t="s">
        <v>27</v>
      </c>
      <c r="B14" s="17" t="s">
        <v>18</v>
      </c>
      <c r="C14" s="18"/>
      <c r="D14" s="18">
        <f t="shared" si="8"/>
        <v>1105.74884</v>
      </c>
      <c r="E14" s="18">
        <f>C12/100*30.2</f>
        <v>13268.986080000001</v>
      </c>
      <c r="F14" s="19"/>
      <c r="G14" s="22">
        <f t="shared" si="9"/>
        <v>54.283919999999853</v>
      </c>
      <c r="H14" s="21">
        <v>13323.27</v>
      </c>
    </row>
    <row r="15" ht="30" customHeight="1">
      <c r="A15" s="23">
        <v>3</v>
      </c>
      <c r="B15" s="24" t="s">
        <v>28</v>
      </c>
      <c r="C15" s="23">
        <v>37100</v>
      </c>
      <c r="D15" s="25">
        <v>37100</v>
      </c>
      <c r="E15" s="25">
        <f>D15*12</f>
        <v>445200</v>
      </c>
      <c r="F15" s="25">
        <f t="shared" si="6"/>
        <v>185500</v>
      </c>
      <c r="G15" s="10">
        <f t="shared" ref="G15:G28" si="10">H15-F15</f>
        <v>0</v>
      </c>
      <c r="H15" s="26">
        <v>185500</v>
      </c>
    </row>
    <row r="16" ht="30" customHeight="1">
      <c r="A16" s="7">
        <v>4</v>
      </c>
      <c r="B16" s="8" t="s">
        <v>29</v>
      </c>
      <c r="C16" s="14"/>
      <c r="D16" s="9">
        <f t="shared" ref="D16:D28" si="11">E16/12</f>
        <v>8283.3333333333339</v>
      </c>
      <c r="E16" s="9">
        <v>99400</v>
      </c>
      <c r="F16" s="9">
        <f>E16/4</f>
        <v>24850</v>
      </c>
      <c r="G16" s="27">
        <f t="shared" si="10"/>
        <v>5</v>
      </c>
      <c r="H16" s="11">
        <v>24855</v>
      </c>
    </row>
    <row r="17" ht="48.75" customHeight="1">
      <c r="A17" s="23">
        <v>5</v>
      </c>
      <c r="B17" s="24" t="s">
        <v>30</v>
      </c>
      <c r="C17" s="28"/>
      <c r="D17" s="29">
        <f t="shared" si="11"/>
        <v>1705.3333333333333</v>
      </c>
      <c r="E17" s="30">
        <v>20464</v>
      </c>
      <c r="F17" s="25">
        <f t="shared" ref="F17:F28" si="12">D17*5</f>
        <v>8526.6666666666661</v>
      </c>
      <c r="G17" s="27">
        <f t="shared" si="10"/>
        <v>578.33333333333394</v>
      </c>
      <c r="H17" s="26">
        <v>9105</v>
      </c>
    </row>
    <row r="18" ht="30" customHeight="1">
      <c r="A18" s="7">
        <v>6</v>
      </c>
      <c r="B18" s="8" t="s">
        <v>31</v>
      </c>
      <c r="C18" s="8"/>
      <c r="D18" s="9">
        <f t="shared" si="11"/>
        <v>20833.333333333332</v>
      </c>
      <c r="E18" s="9">
        <v>250000</v>
      </c>
      <c r="F18" s="9">
        <f t="shared" si="12"/>
        <v>104166.66666666666</v>
      </c>
      <c r="G18" s="10">
        <f t="shared" si="10"/>
        <v>-23525.676666666652</v>
      </c>
      <c r="H18" s="11">
        <v>80640.990000000005</v>
      </c>
    </row>
    <row r="19" ht="30" customHeight="1">
      <c r="A19" s="7">
        <v>7</v>
      </c>
      <c r="B19" s="13" t="s">
        <v>32</v>
      </c>
      <c r="C19" s="13"/>
      <c r="D19" s="9">
        <f t="shared" si="11"/>
        <v>20775</v>
      </c>
      <c r="E19" s="9">
        <v>249300</v>
      </c>
      <c r="F19" s="9">
        <f t="shared" si="12"/>
        <v>103875</v>
      </c>
      <c r="G19" s="10">
        <f t="shared" si="10"/>
        <v>-6874.9499999999971</v>
      </c>
      <c r="H19" s="11">
        <v>97000.050000000003</v>
      </c>
    </row>
    <row r="20" ht="30" customHeight="1">
      <c r="A20" s="7">
        <v>8</v>
      </c>
      <c r="B20" s="8" t="s">
        <v>33</v>
      </c>
      <c r="C20" s="8"/>
      <c r="D20" s="9">
        <f t="shared" si="11"/>
        <v>400</v>
      </c>
      <c r="E20" s="9">
        <v>4800</v>
      </c>
      <c r="F20" s="9">
        <f t="shared" si="12"/>
        <v>2000</v>
      </c>
      <c r="G20" s="10">
        <f t="shared" si="10"/>
        <v>-2000</v>
      </c>
      <c r="H20" s="11">
        <v>0</v>
      </c>
    </row>
    <row r="21" ht="30" customHeight="1">
      <c r="A21" s="7">
        <v>9</v>
      </c>
      <c r="B21" s="8" t="s">
        <v>34</v>
      </c>
      <c r="C21" s="8"/>
      <c r="D21" s="9">
        <f t="shared" si="11"/>
        <v>20833.333333333332</v>
      </c>
      <c r="E21" s="9">
        <v>250000</v>
      </c>
      <c r="F21" s="9">
        <f t="shared" si="12"/>
        <v>104166.66666666666</v>
      </c>
      <c r="G21" s="27">
        <f t="shared" si="10"/>
        <v>207693.33333333334</v>
      </c>
      <c r="H21" s="11">
        <v>311860</v>
      </c>
    </row>
    <row r="22" ht="30" customHeight="1">
      <c r="A22" s="7">
        <v>10</v>
      </c>
      <c r="B22" s="8" t="s">
        <v>35</v>
      </c>
      <c r="C22" s="8"/>
      <c r="D22" s="9">
        <f t="shared" si="11"/>
        <v>3166.6666666666665</v>
      </c>
      <c r="E22" s="9">
        <v>38000</v>
      </c>
      <c r="F22" s="9">
        <f t="shared" si="12"/>
        <v>15833.333333333332</v>
      </c>
      <c r="G22" s="27">
        <f t="shared" si="10"/>
        <v>1272.1966666666667</v>
      </c>
      <c r="H22" s="11">
        <v>17105.529999999999</v>
      </c>
    </row>
    <row r="23" ht="30" customHeight="1">
      <c r="A23" s="7">
        <v>11</v>
      </c>
      <c r="B23" s="13" t="s">
        <v>36</v>
      </c>
      <c r="C23" s="13"/>
      <c r="D23" s="9">
        <f t="shared" si="11"/>
        <v>1666.6666666666667</v>
      </c>
      <c r="E23" s="9">
        <v>20000</v>
      </c>
      <c r="F23" s="9">
        <f t="shared" si="12"/>
        <v>8333.3333333333339</v>
      </c>
      <c r="G23" s="27">
        <f t="shared" si="10"/>
        <v>17306.936666666668</v>
      </c>
      <c r="H23" s="11">
        <f>25640.27</f>
        <v>25640.27</v>
      </c>
    </row>
    <row r="24" ht="30" customHeight="1">
      <c r="A24" s="7">
        <v>12</v>
      </c>
      <c r="B24" s="8" t="s">
        <v>37</v>
      </c>
      <c r="C24" s="8"/>
      <c r="D24" s="9">
        <f t="shared" si="11"/>
        <v>4166.666666666667</v>
      </c>
      <c r="E24" s="9">
        <v>50000</v>
      </c>
      <c r="F24" s="9">
        <f t="shared" si="12"/>
        <v>20833.333333333336</v>
      </c>
      <c r="G24" s="10">
        <f t="shared" si="10"/>
        <v>-20833.333333333336</v>
      </c>
      <c r="H24" s="11">
        <v>0</v>
      </c>
    </row>
    <row r="25" ht="30" customHeight="1">
      <c r="A25" s="7">
        <v>13</v>
      </c>
      <c r="B25" s="8" t="s">
        <v>38</v>
      </c>
      <c r="C25" s="8"/>
      <c r="D25" s="9">
        <f t="shared" si="11"/>
        <v>4166.666666666667</v>
      </c>
      <c r="E25" s="9">
        <v>50000</v>
      </c>
      <c r="F25" s="9">
        <f t="shared" si="12"/>
        <v>20833.333333333336</v>
      </c>
      <c r="G25" s="27">
        <f t="shared" si="10"/>
        <v>1366.6666666666642</v>
      </c>
      <c r="H25" s="11">
        <v>22200</v>
      </c>
    </row>
    <row r="26" ht="30" customHeight="1">
      <c r="A26" s="7">
        <v>14</v>
      </c>
      <c r="B26" s="8" t="s">
        <v>39</v>
      </c>
      <c r="C26" s="8"/>
      <c r="D26" s="9">
        <f t="shared" si="11"/>
        <v>6666.666666666667</v>
      </c>
      <c r="E26" s="9">
        <v>80000</v>
      </c>
      <c r="F26" s="9">
        <f t="shared" si="12"/>
        <v>33333.333333333336</v>
      </c>
      <c r="G26" s="27">
        <f t="shared" si="10"/>
        <v>1666.6666666666642</v>
      </c>
      <c r="H26" s="11">
        <v>35000</v>
      </c>
    </row>
    <row r="27" ht="30" customHeight="1">
      <c r="A27" s="7">
        <v>15</v>
      </c>
      <c r="B27" s="8" t="s">
        <v>40</v>
      </c>
      <c r="C27" s="8"/>
      <c r="D27" s="9">
        <f t="shared" si="11"/>
        <v>8333.3333333333339</v>
      </c>
      <c r="E27" s="9">
        <v>100000</v>
      </c>
      <c r="F27" s="9">
        <f t="shared" si="12"/>
        <v>41666.666666666672</v>
      </c>
      <c r="G27" s="10">
        <f t="shared" si="10"/>
        <v>-2048.5766666666677</v>
      </c>
      <c r="H27" s="31">
        <f>23887.99+15730.1</f>
        <v>39618.090000000004</v>
      </c>
    </row>
    <row r="28" ht="30" customHeight="1">
      <c r="A28" s="32"/>
      <c r="B28" s="33" t="s">
        <v>41</v>
      </c>
      <c r="C28" s="33"/>
      <c r="D28" s="34">
        <f t="shared" si="11"/>
        <v>310838.90733632183</v>
      </c>
      <c r="E28" s="34">
        <f>SUM(E3:E27)</f>
        <v>3730066.8880358622</v>
      </c>
      <c r="F28" s="35">
        <f t="shared" si="12"/>
        <v>1554194.5366816092</v>
      </c>
      <c r="G28" s="36">
        <f t="shared" si="10"/>
        <v>182729.55331839086</v>
      </c>
      <c r="H28" s="37">
        <f>SUM(H3:H27)</f>
        <v>1736924.0900000001</v>
      </c>
    </row>
    <row r="29" ht="15.75">
      <c r="A29" s="38"/>
      <c r="B29" s="38"/>
      <c r="C29" s="38"/>
      <c r="D29" s="38"/>
      <c r="E29" s="38"/>
      <c r="F29" s="38"/>
      <c r="G29" s="38"/>
    </row>
    <row r="30" ht="36" customHeight="1">
      <c r="A30" s="38"/>
      <c r="B30" s="39" t="s">
        <v>42</v>
      </c>
      <c r="C30" s="39"/>
      <c r="D30" s="40"/>
      <c r="E30" s="41">
        <f>D28/111</f>
        <v>2800.3505165434399</v>
      </c>
      <c r="F30" s="42"/>
      <c r="G30" s="42"/>
    </row>
    <row r="31" hidden="1">
      <c r="A31" s="38"/>
      <c r="B31" s="43"/>
      <c r="C31" s="38"/>
      <c r="D31" s="38"/>
      <c r="E31" s="38"/>
      <c r="F31" s="38"/>
      <c r="G31" s="38"/>
    </row>
    <row r="32">
      <c r="A32" s="38"/>
      <c r="B32" s="43"/>
      <c r="C32" s="43"/>
      <c r="D32" s="43"/>
      <c r="E32" s="38"/>
      <c r="F32" s="38"/>
      <c r="G32" s="38"/>
    </row>
    <row r="33" s="44" customFormat="1" ht="23.25" customHeight="1">
      <c r="A33" s="45">
        <v>1</v>
      </c>
      <c r="B33" s="46" t="s">
        <v>43</v>
      </c>
      <c r="C33" s="47">
        <v>30000</v>
      </c>
    </row>
    <row r="35" ht="19.5" customHeight="1">
      <c r="A35" s="38"/>
      <c r="B35" s="39" t="s">
        <v>44</v>
      </c>
      <c r="C35" s="39"/>
      <c r="D35" s="39"/>
      <c r="E35" s="48"/>
      <c r="F35" s="48"/>
      <c r="G35" s="48"/>
    </row>
    <row r="37">
      <c r="B37" s="49" t="s">
        <v>45</v>
      </c>
      <c r="C37" s="49"/>
      <c r="D37" s="49"/>
      <c r="E37" s="49"/>
      <c r="F37" s="49"/>
      <c r="G37" s="49"/>
    </row>
  </sheetData>
  <mergeCells count="5">
    <mergeCell ref="A1:H1"/>
    <mergeCell ref="B30:D30"/>
    <mergeCell ref="C32:D32"/>
    <mergeCell ref="B35:D35"/>
    <mergeCell ref="B37:E37"/>
  </mergeCells>
  <printOptions headings="0" gridLines="0"/>
  <pageMargins left="0.31496062992125984" right="0.31496062992125984" top="0.35433070866141736" bottom="0.35433070866141736" header="0.31496062992125984" footer="0.31496062992125984"/>
  <pageSetup blackAndWhite="0" cellComments="none" copies="1" draft="0" errors="displayed" firstPageNumber="-1" fitToHeight="1" fitToWidth="1" horizontalDpi="2147483647" orientation="portrait" pageOrder="downThenOver" paperSize="9" scale="80" useFirstPageNumber="0" usePrinterDefaults="1" vertic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ONLYOFFICE/6.3.1.56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revision>3</cp:revision>
  <dcterms:created xsi:type="dcterms:W3CDTF">2019-10-12T14:11:34Z</dcterms:created>
  <dcterms:modified xsi:type="dcterms:W3CDTF">2026-07-01T18:20:33Z</dcterms:modified>
</cp:coreProperties>
</file>